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1" sheetId="1" r:id="rId1"/>
  </sheets>
  <definedNames>
    <definedName name="Excel_BuiltIn_Print_Area_1">'Tabelle1'!$A$1:$E$37</definedName>
    <definedName name="Excel_BuiltIn_Sheet_Title_1">"Tabelle1"</definedName>
    <definedName name="Excel_BuiltIn_Print_Area_11">#N/A</definedName>
  </definedNames>
  <calcPr fullCalcOnLoad="1"/>
</workbook>
</file>

<file path=xl/sharedStrings.xml><?xml version="1.0" encoding="utf-8"?>
<sst xmlns="http://schemas.openxmlformats.org/spreadsheetml/2006/main" count="71" uniqueCount="70">
  <si>
    <t>Adresse: Beispiel-Wohnung in Sachsen</t>
  </si>
  <si>
    <t>Jahr: 2010</t>
  </si>
  <si>
    <t>Jahres-Nebenkosten</t>
  </si>
  <si>
    <t>1. Vermietungs-Periode</t>
  </si>
  <si>
    <t>Grunddaten</t>
  </si>
  <si>
    <t>Jahresgewinn</t>
  </si>
  <si>
    <t>Kaltmiete 1. Periode</t>
  </si>
  <si>
    <t>Wohnfläche in qm</t>
  </si>
  <si>
    <t>Miete</t>
  </si>
  <si>
    <t>Kaltmiete 2. Periode</t>
  </si>
  <si>
    <t>Preis pro qm</t>
  </si>
  <si>
    <t>Mietverwaltung</t>
  </si>
  <si>
    <t>Stellplatz 1. Periode</t>
  </si>
  <si>
    <t>Preis Stellplatz/Garage</t>
  </si>
  <si>
    <t>Nicht umlagefähige Betriebskosten</t>
  </si>
  <si>
    <t>Stellplatz 2. Periode</t>
  </si>
  <si>
    <t>Kaufpreis (netto)</t>
  </si>
  <si>
    <t>Erhaltungsaufwendungen</t>
  </si>
  <si>
    <t>Miete ges.</t>
  </si>
  <si>
    <t>Sanierungsanteil</t>
  </si>
  <si>
    <t>Zins</t>
  </si>
  <si>
    <t>Grunderwerbsteuer</t>
  </si>
  <si>
    <t>Gewinn nach Zins vor Steuern</t>
  </si>
  <si>
    <t>Erwerbs-Nebenkosten</t>
  </si>
  <si>
    <t>Tilgung</t>
  </si>
  <si>
    <t>NK Abrechnung</t>
  </si>
  <si>
    <t>Gesamtkosten</t>
  </si>
  <si>
    <t>Kontosaldo vor Steuern</t>
  </si>
  <si>
    <t>Mietverwaltung ges.</t>
  </si>
  <si>
    <t>Gebäudeanteil</t>
  </si>
  <si>
    <t>1. BK Vorschuss-Periode</t>
  </si>
  <si>
    <t>Finanzierung</t>
  </si>
  <si>
    <t>Absetzung für Abnutzung</t>
  </si>
  <si>
    <t>BK Vorschuss 1. Periode</t>
  </si>
  <si>
    <t>Darlehen</t>
  </si>
  <si>
    <t>AfA-Satz</t>
  </si>
  <si>
    <t>BK Vorschuss 2. Periode</t>
  </si>
  <si>
    <t>Saldo (einmalig)</t>
  </si>
  <si>
    <t>Sonder-AfA-Satz</t>
  </si>
  <si>
    <t>BK Vorschuss ges.</t>
  </si>
  <si>
    <t>Zinssatz anfänglich effektiv</t>
  </si>
  <si>
    <t>AfA gesamt</t>
  </si>
  <si>
    <t>NK Nachberechnung</t>
  </si>
  <si>
    <t xml:space="preserve">Tilgungsrate </t>
  </si>
  <si>
    <t>NK Mieter (incl. Grundst.)</t>
  </si>
  <si>
    <t>Annuität</t>
  </si>
  <si>
    <t>Steuerbilanz</t>
  </si>
  <si>
    <t>Saldo vom Mietverwalter</t>
  </si>
  <si>
    <t>eigene Aufwendungen pauschal</t>
  </si>
  <si>
    <t>Grundsteuer</t>
  </si>
  <si>
    <t>Mieteinnahmen monatlich</t>
  </si>
  <si>
    <t>Einkommen V+V, Saldo Anlage V</t>
  </si>
  <si>
    <t>Kaltmiete</t>
  </si>
  <si>
    <t>Grenz-Steuersatz</t>
  </si>
  <si>
    <t>1. Hausgeld Abschlag Periode</t>
  </si>
  <si>
    <t>Kaltmiete pro qm</t>
  </si>
  <si>
    <t>Steuerersparnis</t>
  </si>
  <si>
    <t>Hausgeld Abschlag 1. Periode</t>
  </si>
  <si>
    <t>Miete Stellplatz/Garage</t>
  </si>
  <si>
    <t>Hausgeld Abschlag 2. Periode</t>
  </si>
  <si>
    <t>Miete gesamt</t>
  </si>
  <si>
    <t>Gewinn nach Zins und Steuern</t>
  </si>
  <si>
    <t>Hausgeld Nachberechnung</t>
  </si>
  <si>
    <t>Rendite nach Zins und Steuern</t>
  </si>
  <si>
    <t>Saldo an Hausverwalter</t>
  </si>
  <si>
    <t>Rendite</t>
  </si>
  <si>
    <t>Kontosaldo nach Zins und Steuern</t>
  </si>
  <si>
    <t>Brutto-Rendite</t>
  </si>
  <si>
    <t>Liquidität monatlich</t>
  </si>
  <si>
    <t>Saldo Miete+eigene NK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</si>
</sst>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\ [$Monate]"/>
    <numFmt numFmtId="166" formatCode="#,##0.00\ [$€-407];[RED]\-#,##0.00\ [$€-407]"/>
    <numFmt numFmtId="167" formatCode="#,##0.00_ ;\-#,##0.00\ "/>
    <numFmt numFmtId="168" formatCode="#,##0.00\ [$€-1];[RED]\-#,##0.00\ [$€-1]"/>
    <numFmt numFmtId="169" formatCode="#,##0.00\ [$€-407];[RED]#,##0.00\ [$€-407]"/>
    <numFmt numFmtId="170" formatCode="[RED]#,##0.00\ [$€-1];[RED]\-#,##0.00\ [$€-1]"/>
    <numFmt numFmtId="171" formatCode="0.00%"/>
    <numFmt numFmtId="172" formatCode="#,##0.00\ [$€-407];\-#,##0.00\ [$€-407]"/>
    <numFmt numFmtId="173" formatCode="0%"/>
  </numFmts>
  <fonts count="5"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indexed="1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166" fontId="1" fillId="0" borderId="0" xfId="0" applyNumberFormat="1" applyFont="1" applyFill="1" applyBorder="1" applyAlignment="1" applyProtection="1">
      <alignment/>
      <protection/>
    </xf>
    <xf numFmtId="167" fontId="1" fillId="0" borderId="0" xfId="0" applyNumberFormat="1" applyFont="1" applyFill="1" applyBorder="1" applyAlignment="1" applyProtection="1">
      <alignment horizontal="right"/>
      <protection/>
    </xf>
    <xf numFmtId="168" fontId="1" fillId="0" borderId="0" xfId="0" applyNumberFormat="1" applyFont="1" applyFill="1" applyBorder="1" applyAlignment="1" applyProtection="1">
      <alignment/>
      <protection/>
    </xf>
    <xf numFmtId="166" fontId="1" fillId="0" borderId="0" xfId="0" applyNumberFormat="1" applyFont="1" applyFill="1" applyBorder="1" applyAlignment="1" applyProtection="1">
      <alignment horizontal="right"/>
      <protection/>
    </xf>
    <xf numFmtId="169" fontId="1" fillId="0" borderId="0" xfId="0" applyNumberFormat="1" applyFont="1" applyFill="1" applyBorder="1" applyAlignment="1" applyProtection="1">
      <alignment/>
      <protection/>
    </xf>
    <xf numFmtId="170" fontId="1" fillId="0" borderId="0" xfId="0" applyNumberFormat="1" applyFont="1" applyFill="1" applyBorder="1" applyAlignment="1" applyProtection="1">
      <alignment/>
      <protection/>
    </xf>
    <xf numFmtId="168" fontId="3" fillId="0" borderId="0" xfId="0" applyNumberFormat="1" applyFont="1" applyFill="1" applyBorder="1" applyAlignment="1" applyProtection="1">
      <alignment/>
      <protection/>
    </xf>
    <xf numFmtId="171" fontId="1" fillId="0" borderId="0" xfId="0" applyNumberFormat="1" applyFont="1" applyFill="1" applyBorder="1" applyAlignment="1" applyProtection="1">
      <alignment/>
      <protection/>
    </xf>
    <xf numFmtId="172" fontId="1" fillId="0" borderId="0" xfId="0" applyNumberFormat="1" applyFont="1" applyFill="1" applyBorder="1" applyAlignment="1" applyProtection="1">
      <alignment/>
      <protection/>
    </xf>
    <xf numFmtId="172" fontId="3" fillId="0" borderId="0" xfId="0" applyNumberFormat="1" applyFon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168" fontId="4" fillId="0" borderId="0" xfId="0" applyNumberFormat="1" applyFont="1" applyFill="1" applyBorder="1" applyAlignment="1" applyProtection="1">
      <alignment/>
      <protection/>
    </xf>
    <xf numFmtId="168" fontId="1" fillId="0" borderId="0" xfId="0" applyNumberFormat="1" applyFont="1" applyFill="1" applyBorder="1" applyAlignment="1" applyProtection="1">
      <alignment horizontal="right"/>
      <protection/>
    </xf>
    <xf numFmtId="173" fontId="1" fillId="0" borderId="0" xfId="0" applyNumberFormat="1" applyFont="1" applyFill="1" applyBorder="1" applyAlignment="1" applyProtection="1">
      <alignment/>
      <protection/>
    </xf>
    <xf numFmtId="171" fontId="3" fillId="0" borderId="0" xfId="0" applyNumberFormat="1" applyFont="1" applyFill="1" applyBorder="1" applyAlignment="1" applyProtection="1">
      <alignment/>
      <protection/>
    </xf>
    <xf numFmtId="171" fontId="1" fillId="0" borderId="0" xfId="0" applyNumberFormat="1" applyFont="1" applyBorder="1" applyAlignment="1">
      <alignment/>
    </xf>
    <xf numFmtId="168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SheetLayoutView="10" workbookViewId="0" topLeftCell="A1">
      <selection activeCell="E27" sqref="E27"/>
    </sheetView>
  </sheetViews>
  <sheetFormatPr defaultColWidth="11.421875" defaultRowHeight="12.75"/>
  <cols>
    <col min="1" max="1" width="28.421875" style="1" customWidth="1"/>
    <col min="2" max="2" width="13.57421875" style="1" customWidth="1"/>
    <col min="3" max="3" width="4.7109375" style="1" customWidth="1"/>
    <col min="4" max="4" width="35.421875" style="1" customWidth="1"/>
    <col min="5" max="5" width="12.8515625" style="1" customWidth="1"/>
    <col min="6" max="6" width="5.28125" style="1" customWidth="1"/>
    <col min="7" max="7" width="25.421875" style="1" customWidth="1"/>
    <col min="8" max="8" width="12.140625" style="1" customWidth="1"/>
    <col min="9" max="16384" width="11.421875" style="1" customWidth="1"/>
  </cols>
  <sheetData>
    <row r="1" spans="1:7" ht="24" customHeight="1">
      <c r="A1" s="2" t="s">
        <v>0</v>
      </c>
      <c r="E1" s="2" t="s">
        <v>1</v>
      </c>
      <c r="G1" s="3" t="s">
        <v>2</v>
      </c>
    </row>
    <row r="2" spans="2:8" ht="17.25" customHeight="1">
      <c r="B2" s="2"/>
      <c r="G2" s="4" t="s">
        <v>3</v>
      </c>
      <c r="H2" s="5">
        <v>10</v>
      </c>
    </row>
    <row r="3" spans="1:8" ht="17.25" customHeight="1">
      <c r="A3" s="3" t="s">
        <v>4</v>
      </c>
      <c r="B3" s="4"/>
      <c r="D3" s="3" t="s">
        <v>5</v>
      </c>
      <c r="G3" s="4" t="s">
        <v>6</v>
      </c>
      <c r="H3" s="6">
        <f>230</f>
        <v>230</v>
      </c>
    </row>
    <row r="4" spans="1:9" ht="17.25" customHeight="1">
      <c r="A4" s="1" t="s">
        <v>7</v>
      </c>
      <c r="B4" s="7">
        <v>50</v>
      </c>
      <c r="D4" s="1" t="s">
        <v>8</v>
      </c>
      <c r="E4" s="8">
        <f>H7</f>
        <v>3000</v>
      </c>
      <c r="G4" s="4" t="s">
        <v>9</v>
      </c>
      <c r="H4" s="6">
        <f>260</f>
        <v>260</v>
      </c>
      <c r="I4" s="4"/>
    </row>
    <row r="5" spans="1:9" ht="17.25" customHeight="1">
      <c r="A5" s="1" t="s">
        <v>10</v>
      </c>
      <c r="B5" s="9">
        <f>1100</f>
        <v>1100</v>
      </c>
      <c r="D5" s="1" t="s">
        <v>11</v>
      </c>
      <c r="E5" s="8">
        <f>H11</f>
        <v>-300</v>
      </c>
      <c r="G5" s="4" t="s">
        <v>12</v>
      </c>
      <c r="H5" s="6">
        <f>15</f>
        <v>15</v>
      </c>
      <c r="I5" s="4"/>
    </row>
    <row r="6" spans="1:9" ht="17.25" customHeight="1">
      <c r="A6" s="1" t="s">
        <v>13</v>
      </c>
      <c r="B6" s="10">
        <v>5000</v>
      </c>
      <c r="D6" s="1" t="s">
        <v>14</v>
      </c>
      <c r="E6" s="8">
        <f>-B4*12*0+H18+H20+H26</f>
        <v>-400</v>
      </c>
      <c r="G6" s="4" t="s">
        <v>15</v>
      </c>
      <c r="H6" s="6">
        <f>15</f>
        <v>15</v>
      </c>
      <c r="I6" s="4"/>
    </row>
    <row r="7" spans="1:9" ht="17.25" customHeight="1">
      <c r="A7" s="1" t="s">
        <v>16</v>
      </c>
      <c r="B7" s="8">
        <f>B4*B5+B6</f>
        <v>60000</v>
      </c>
      <c r="D7" s="1" t="s">
        <v>17</v>
      </c>
      <c r="E7" s="11">
        <v>0</v>
      </c>
      <c r="G7" s="1" t="s">
        <v>18</v>
      </c>
      <c r="H7" s="12">
        <f>(H3+H5)*H2+(H4+H6)*(12-H2)</f>
        <v>3000</v>
      </c>
      <c r="I7" s="4"/>
    </row>
    <row r="8" spans="1:10" ht="17.25" customHeight="1">
      <c r="A8" s="1" t="s">
        <v>19</v>
      </c>
      <c r="B8" s="13">
        <v>0.75</v>
      </c>
      <c r="D8" s="1" t="s">
        <v>20</v>
      </c>
      <c r="E8" s="8">
        <f>-B15*B17</f>
        <v>-2250</v>
      </c>
      <c r="G8" s="4"/>
      <c r="H8" s="4"/>
      <c r="I8" s="4"/>
      <c r="J8" s="4"/>
    </row>
    <row r="9" spans="1:10" ht="17.25" customHeight="1">
      <c r="A9" s="1" t="s">
        <v>21</v>
      </c>
      <c r="B9" s="8">
        <f>B7*0.035</f>
        <v>2100</v>
      </c>
      <c r="D9" s="1" t="s">
        <v>22</v>
      </c>
      <c r="E9" s="8">
        <f>SUM(E4:E8)</f>
        <v>50</v>
      </c>
      <c r="G9" s="1" t="s">
        <v>11</v>
      </c>
      <c r="H9" s="14">
        <f>-20*12</f>
        <v>-240</v>
      </c>
      <c r="I9" s="4"/>
      <c r="J9" s="4"/>
    </row>
    <row r="10" spans="1:10" ht="17.25" customHeight="1">
      <c r="A10" s="1" t="s">
        <v>23</v>
      </c>
      <c r="B10" s="10">
        <f>B7*1.5%</f>
        <v>900</v>
      </c>
      <c r="D10" s="1" t="s">
        <v>24</v>
      </c>
      <c r="E10" s="8">
        <f>-B15*B18*0-(B19+E8)</f>
        <v>-500</v>
      </c>
      <c r="F10" s="4"/>
      <c r="G10" s="1" t="s">
        <v>25</v>
      </c>
      <c r="H10" s="14">
        <f>-60</f>
        <v>-60</v>
      </c>
      <c r="I10" s="4"/>
      <c r="J10" s="4"/>
    </row>
    <row r="11" spans="1:10" ht="17.25" customHeight="1">
      <c r="A11" s="1" t="s">
        <v>26</v>
      </c>
      <c r="B11" s="12">
        <f>B7+B9+B10</f>
        <v>63000</v>
      </c>
      <c r="D11" s="1" t="s">
        <v>27</v>
      </c>
      <c r="E11" s="12">
        <f>E9+E10</f>
        <v>-450</v>
      </c>
      <c r="F11" s="4"/>
      <c r="G11" s="1" t="s">
        <v>28</v>
      </c>
      <c r="H11" s="15">
        <f>SUM(H9:H10)</f>
        <v>-300</v>
      </c>
      <c r="I11" s="4"/>
      <c r="J11" s="4"/>
    </row>
    <row r="12" spans="1:10" ht="17.25" customHeight="1">
      <c r="A12" s="1" t="s">
        <v>29</v>
      </c>
      <c r="B12" s="13">
        <v>0.15</v>
      </c>
      <c r="C12" s="4"/>
      <c r="D12" s="4"/>
      <c r="E12" s="4"/>
      <c r="G12" s="4"/>
      <c r="H12" s="4"/>
      <c r="I12" s="4"/>
      <c r="J12" s="4"/>
    </row>
    <row r="13" spans="1:9" ht="17.25" customHeight="1">
      <c r="A13" s="4"/>
      <c r="B13" s="4"/>
      <c r="C13" s="4"/>
      <c r="D13" s="4"/>
      <c r="E13" s="4"/>
      <c r="G13" s="4" t="s">
        <v>30</v>
      </c>
      <c r="H13" s="5">
        <v>8</v>
      </c>
      <c r="I13" s="4"/>
    </row>
    <row r="14" spans="1:9" ht="17.25" customHeight="1">
      <c r="A14" s="3" t="s">
        <v>31</v>
      </c>
      <c r="C14" s="4"/>
      <c r="D14" s="3" t="s">
        <v>32</v>
      </c>
      <c r="G14" s="4" t="s">
        <v>33</v>
      </c>
      <c r="H14" s="6">
        <f>90</f>
        <v>90</v>
      </c>
      <c r="I14" s="4"/>
    </row>
    <row r="15" spans="1:9" ht="17.25" customHeight="1">
      <c r="A15" s="1" t="s">
        <v>34</v>
      </c>
      <c r="B15" s="8">
        <f>50000</f>
        <v>50000</v>
      </c>
      <c r="C15" s="4"/>
      <c r="D15" s="1" t="s">
        <v>35</v>
      </c>
      <c r="E15" s="13">
        <v>0.025</v>
      </c>
      <c r="G15" s="4" t="s">
        <v>36</v>
      </c>
      <c r="H15" s="6">
        <f>100</f>
        <v>100</v>
      </c>
      <c r="I15" s="4"/>
    </row>
    <row r="16" spans="1:9" ht="17.25" customHeight="1">
      <c r="A16" s="1" t="s">
        <v>37</v>
      </c>
      <c r="B16" s="12">
        <f>B15-B11</f>
        <v>-13000</v>
      </c>
      <c r="C16" s="4"/>
      <c r="D16" s="1" t="s">
        <v>38</v>
      </c>
      <c r="E16" s="13">
        <v>0.09</v>
      </c>
      <c r="G16" s="4" t="s">
        <v>39</v>
      </c>
      <c r="H16" s="6">
        <f>H14*H13+H15*(12-H13)</f>
        <v>1120</v>
      </c>
      <c r="I16" s="4"/>
    </row>
    <row r="17" spans="1:9" ht="17.25" customHeight="1">
      <c r="A17" s="1" t="s">
        <v>40</v>
      </c>
      <c r="B17" s="13">
        <v>0.045</v>
      </c>
      <c r="D17" s="1" t="s">
        <v>41</v>
      </c>
      <c r="E17" s="8">
        <f>B11*B12*E15+B7*B8*E16</f>
        <v>4286.25</v>
      </c>
      <c r="F17" s="4"/>
      <c r="G17" s="4" t="s">
        <v>42</v>
      </c>
      <c r="H17" s="14">
        <f>200</f>
        <v>200</v>
      </c>
      <c r="I17" s="4"/>
    </row>
    <row r="18" spans="1:9" ht="17.25" customHeight="1">
      <c r="A18" s="1" t="s">
        <v>43</v>
      </c>
      <c r="B18" s="13">
        <v>0.01</v>
      </c>
      <c r="D18" s="4"/>
      <c r="E18" s="4"/>
      <c r="F18" s="4"/>
      <c r="G18" s="1" t="s">
        <v>44</v>
      </c>
      <c r="H18" s="12">
        <f>H16+H17</f>
        <v>1320</v>
      </c>
      <c r="I18" s="4"/>
    </row>
    <row r="19" spans="1:9" ht="17.25" customHeight="1">
      <c r="A19" s="1" t="s">
        <v>45</v>
      </c>
      <c r="B19" s="8">
        <f>B15*(B17+B18)</f>
        <v>2750</v>
      </c>
      <c r="D19" s="3" t="s">
        <v>46</v>
      </c>
      <c r="E19" s="4"/>
      <c r="F19" s="4"/>
      <c r="G19" s="1" t="s">
        <v>47</v>
      </c>
      <c r="H19" s="16">
        <f>H7+H11+H18</f>
        <v>4020</v>
      </c>
      <c r="I19" s="4"/>
    </row>
    <row r="20" spans="1:9" ht="17.25" customHeight="1">
      <c r="A20" s="4"/>
      <c r="B20" s="4"/>
      <c r="D20" s="1" t="s">
        <v>48</v>
      </c>
      <c r="E20" s="14">
        <f>-150</f>
        <v>-150</v>
      </c>
      <c r="F20" s="4"/>
      <c r="G20" s="1" t="s">
        <v>49</v>
      </c>
      <c r="H20" s="15">
        <f>-20</f>
        <v>-20</v>
      </c>
      <c r="I20" s="4"/>
    </row>
    <row r="21" spans="1:9" ht="17.25" customHeight="1">
      <c r="A21" s="3" t="s">
        <v>50</v>
      </c>
      <c r="B21" s="4"/>
      <c r="D21" s="17" t="s">
        <v>51</v>
      </c>
      <c r="E21" s="18">
        <f>E9-E17+E20</f>
        <v>-4386.25</v>
      </c>
      <c r="F21" s="4"/>
      <c r="G21" s="4"/>
      <c r="H21" s="4"/>
      <c r="I21" s="4"/>
    </row>
    <row r="22" spans="1:9" ht="17.25" customHeight="1">
      <c r="A22" s="1" t="s">
        <v>52</v>
      </c>
      <c r="B22" s="19">
        <f>(H3*H2+H4*(12-H2))/12</f>
        <v>235</v>
      </c>
      <c r="D22" s="1" t="s">
        <v>53</v>
      </c>
      <c r="E22" s="20">
        <v>0.4</v>
      </c>
      <c r="F22" s="4"/>
      <c r="G22" s="4" t="s">
        <v>54</v>
      </c>
      <c r="H22" s="5">
        <v>12</v>
      </c>
      <c r="I22" s="4"/>
    </row>
    <row r="23" spans="1:9" ht="17.25" customHeight="1">
      <c r="A23" s="1" t="s">
        <v>55</v>
      </c>
      <c r="B23" s="19">
        <f>B22/B4</f>
        <v>4.7</v>
      </c>
      <c r="D23" s="1" t="s">
        <v>56</v>
      </c>
      <c r="E23" s="12">
        <f>-E21*E22</f>
        <v>1754.5</v>
      </c>
      <c r="G23" s="4" t="s">
        <v>57</v>
      </c>
      <c r="H23" s="14">
        <f>-120</f>
        <v>-120</v>
      </c>
      <c r="I23" s="4"/>
    </row>
    <row r="24" spans="1:9" ht="17.25" customHeight="1">
      <c r="A24" s="1" t="s">
        <v>58</v>
      </c>
      <c r="B24" s="19">
        <f>(H5*H2+H6*(12-H2))/12</f>
        <v>15</v>
      </c>
      <c r="D24" s="4"/>
      <c r="E24" s="4"/>
      <c r="G24" s="4" t="s">
        <v>59</v>
      </c>
      <c r="H24" s="14">
        <f>-(0)</f>
        <v>0</v>
      </c>
      <c r="I24" s="4"/>
    </row>
    <row r="25" spans="1:9" ht="17.25" customHeight="1">
      <c r="A25" s="1" t="s">
        <v>60</v>
      </c>
      <c r="B25" s="19">
        <f>B22+B24</f>
        <v>250</v>
      </c>
      <c r="D25" s="1" t="s">
        <v>61</v>
      </c>
      <c r="E25" s="8">
        <f>E9+E23</f>
        <v>1804.5</v>
      </c>
      <c r="G25" s="4" t="s">
        <v>62</v>
      </c>
      <c r="H25" s="14">
        <v>-260</v>
      </c>
      <c r="I25" s="4"/>
    </row>
    <row r="26" spans="1:10" ht="17.25" customHeight="1">
      <c r="A26" s="4"/>
      <c r="B26" s="4"/>
      <c r="D26" s="1" t="s">
        <v>63</v>
      </c>
      <c r="E26" s="21">
        <f>E25/B11</f>
        <v>0.028642857142857144</v>
      </c>
      <c r="G26" s="1" t="s">
        <v>64</v>
      </c>
      <c r="H26" s="15">
        <f>H23*H22+H24*(12-H22)+H25</f>
        <v>-1700</v>
      </c>
      <c r="I26" s="4"/>
      <c r="J26" s="4"/>
    </row>
    <row r="27" spans="1:8" ht="17.25" customHeight="1">
      <c r="A27" s="3" t="s">
        <v>65</v>
      </c>
      <c r="D27" s="1" t="s">
        <v>66</v>
      </c>
      <c r="E27" s="8">
        <f>E25+E10</f>
        <v>1304.5</v>
      </c>
      <c r="F27" s="4"/>
      <c r="G27" s="4"/>
      <c r="H27" s="4"/>
    </row>
    <row r="28" spans="1:10" ht="17.25" customHeight="1">
      <c r="A28" s="1" t="s">
        <v>67</v>
      </c>
      <c r="B28" s="22">
        <f>B25*12/B7</f>
        <v>0.05</v>
      </c>
      <c r="D28" s="1" t="s">
        <v>68</v>
      </c>
      <c r="E28" s="12">
        <f>E27/12</f>
        <v>108.70833333333333</v>
      </c>
      <c r="F28" s="4"/>
      <c r="G28" s="1" t="s">
        <v>69</v>
      </c>
      <c r="H28" s="23">
        <f>H19+H20+H26</f>
        <v>2300</v>
      </c>
      <c r="I28" s="4"/>
      <c r="J28" s="4"/>
    </row>
    <row r="29" spans="1:8" ht="17.25" customHeight="1">
      <c r="A29" s="4"/>
      <c r="B29" s="4"/>
      <c r="F29" s="4"/>
      <c r="G29" s="4"/>
      <c r="H29" s="4"/>
    </row>
    <row r="30" spans="7:8" ht="17.25" customHeight="1">
      <c r="G30" s="4"/>
      <c r="H30" s="4"/>
    </row>
  </sheetData>
  <sheetProtection selectLockedCells="1" selectUnlockedCells="1"/>
  <printOptions/>
  <pageMargins left="0.5402777777777777" right="0.24027777777777778" top="0.7875" bottom="0.7875" header="0.5118055555555555" footer="0.5118055555555555"/>
  <pageSetup horizontalDpi="300" verticalDpi="300" orientation="portrait" paperSize="9"/>
  <headerFooter alignWithMargins="0">
    <oddHeader>&amp;CTAB]</oddHeader>
    <oddFooter>&amp;CPage 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24716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Wittmann</dc:creator>
  <cp:keywords/>
  <dc:description/>
  <cp:lastModifiedBy>David von Oheimb</cp:lastModifiedBy>
  <cp:lastPrinted>2008-12-22T15:57:12Z</cp:lastPrinted>
  <dcterms:created xsi:type="dcterms:W3CDTF">2001-12-04T08:06:59Z</dcterms:created>
  <dcterms:modified xsi:type="dcterms:W3CDTF">2010-05-01T20:19:56Z</dcterms:modified>
  <cp:category/>
  <cp:version/>
  <cp:contentType/>
  <cp:contentStatus/>
  <cp:revision>19</cp:revision>
</cp:coreProperties>
</file>